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e\Dropbox\DTE\House Info\8837 Terrace Ridge Ct\TRSCA Board\"/>
    </mc:Choice>
  </mc:AlternateContent>
  <xr:revisionPtr revIDLastSave="0" documentId="8_{C0D7A3FC-2E07-4AE3-97EA-179E9ABA7052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Summary" sheetId="4" r:id="rId1"/>
    <sheet name="Income Statement" sheetId="1" r:id="rId2"/>
    <sheet name="Balance Sheet" sheetId="2" r:id="rId3"/>
    <sheet name="Edward Jon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H9" i="4"/>
  <c r="Q43" i="3" l="1"/>
  <c r="B46" i="2"/>
  <c r="B47" i="2" s="1"/>
  <c r="B37" i="2"/>
  <c r="B40" i="2" s="1"/>
  <c r="B41" i="2" s="1"/>
  <c r="B33" i="2"/>
  <c r="B28" i="2"/>
  <c r="B29" i="2" s="1"/>
  <c r="B34" i="2" s="1"/>
  <c r="B42" i="2" s="1"/>
  <c r="B48" i="2" s="1"/>
  <c r="B19" i="2"/>
  <c r="B15" i="2"/>
  <c r="B12" i="2"/>
  <c r="B20" i="2" s="1"/>
  <c r="B23" i="2" s="1"/>
  <c r="L15" i="1"/>
  <c r="F16" i="1"/>
  <c r="K32" i="1"/>
  <c r="K34" i="1" s="1"/>
  <c r="K35" i="1" s="1"/>
  <c r="K36" i="1" s="1"/>
  <c r="K30" i="1"/>
  <c r="K25" i="1" l="1"/>
  <c r="K26" i="1" s="1"/>
  <c r="K37" i="1" s="1"/>
  <c r="K7" i="1"/>
  <c r="K9" i="1" s="1"/>
  <c r="C25" i="1"/>
  <c r="D25" i="1"/>
  <c r="E25" i="1"/>
  <c r="F25" i="1"/>
  <c r="G25" i="1"/>
  <c r="H25" i="1"/>
  <c r="I25" i="1"/>
  <c r="B25" i="1"/>
  <c r="J23" i="1"/>
  <c r="L23" i="1" s="1"/>
  <c r="I32" i="1" l="1"/>
  <c r="I34" i="1" s="1"/>
  <c r="I35" i="1" s="1"/>
  <c r="H32" i="1"/>
  <c r="G32" i="1"/>
  <c r="G34" i="1" s="1"/>
  <c r="G35" i="1" s="1"/>
  <c r="F32" i="1"/>
  <c r="E32" i="1"/>
  <c r="E34" i="1" s="1"/>
  <c r="E35" i="1" s="1"/>
  <c r="D32" i="1"/>
  <c r="C32" i="1"/>
  <c r="B32" i="1"/>
  <c r="J31" i="1"/>
  <c r="J30" i="1"/>
  <c r="L30" i="1" s="1"/>
  <c r="J29" i="1"/>
  <c r="L29" i="1" s="1"/>
  <c r="L32" i="1" s="1"/>
  <c r="J24" i="1"/>
  <c r="L24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4" i="1"/>
  <c r="L14" i="1" s="1"/>
  <c r="J13" i="1"/>
  <c r="L13" i="1" s="1"/>
  <c r="J12" i="1"/>
  <c r="L12" i="1" s="1"/>
  <c r="J11" i="1"/>
  <c r="L11" i="1" s="1"/>
  <c r="J8" i="1"/>
  <c r="I7" i="1"/>
  <c r="I9" i="1" s="1"/>
  <c r="H7" i="1"/>
  <c r="H9" i="1" s="1"/>
  <c r="G7" i="1"/>
  <c r="G9" i="1" s="1"/>
  <c r="F7" i="1"/>
  <c r="F9" i="1" s="1"/>
  <c r="F26" i="1" s="1"/>
  <c r="E7" i="1"/>
  <c r="E9" i="1" s="1"/>
  <c r="E26" i="1" s="1"/>
  <c r="D7" i="1"/>
  <c r="D9" i="1" s="1"/>
  <c r="D26" i="1" s="1"/>
  <c r="C7" i="1"/>
  <c r="C9" i="1" s="1"/>
  <c r="C26" i="1" s="1"/>
  <c r="B7" i="1"/>
  <c r="B9" i="1" s="1"/>
  <c r="B26" i="1" s="1"/>
  <c r="B27" i="1" s="1"/>
  <c r="J6" i="1"/>
  <c r="L6" i="1" s="1"/>
  <c r="J32" i="1" l="1"/>
  <c r="B34" i="1"/>
  <c r="C34" i="1"/>
  <c r="C35" i="1" s="1"/>
  <c r="C36" i="1" s="1"/>
  <c r="C37" i="1" s="1"/>
  <c r="F34" i="1"/>
  <c r="F35" i="1" s="1"/>
  <c r="F36" i="1" s="1"/>
  <c r="F37" i="1" s="1"/>
  <c r="H34" i="1"/>
  <c r="H35" i="1" s="1"/>
  <c r="H36" i="1" s="1"/>
  <c r="G36" i="1"/>
  <c r="D34" i="1"/>
  <c r="D35" i="1" s="1"/>
  <c r="D36" i="1" s="1"/>
  <c r="D37" i="1" s="1"/>
  <c r="I36" i="1"/>
  <c r="C27" i="1"/>
  <c r="D27" i="1" s="1"/>
  <c r="E27" i="1" s="1"/>
  <c r="F27" i="1" s="1"/>
  <c r="G26" i="1"/>
  <c r="G37" i="1" s="1"/>
  <c r="H26" i="1"/>
  <c r="I26" i="1"/>
  <c r="J25" i="1"/>
  <c r="L25" i="1" s="1"/>
  <c r="J7" i="1"/>
  <c r="E36" i="1"/>
  <c r="J9" i="1"/>
  <c r="L9" i="1" s="1"/>
  <c r="B35" i="1" l="1"/>
  <c r="J34" i="1"/>
  <c r="H37" i="1"/>
  <c r="I37" i="1"/>
  <c r="G27" i="1"/>
  <c r="H27" i="1" s="1"/>
  <c r="I27" i="1" s="1"/>
  <c r="J26" i="1"/>
  <c r="L26" i="1" s="1"/>
  <c r="E37" i="1"/>
  <c r="L34" i="1" l="1"/>
  <c r="L35" i="1" s="1"/>
  <c r="J35" i="1"/>
  <c r="B36" i="1"/>
  <c r="B37" i="1" l="1"/>
  <c r="J37" i="1" s="1"/>
  <c r="L37" i="1" s="1"/>
  <c r="J36" i="1"/>
  <c r="L36" i="1" s="1"/>
</calcChain>
</file>

<file path=xl/sharedStrings.xml><?xml version="1.0" encoding="utf-8"?>
<sst xmlns="http://schemas.openxmlformats.org/spreadsheetml/2006/main" count="121" uniqueCount="110">
  <si>
    <t>Profit and Loss</t>
  </si>
  <si>
    <t>Terrace Ridge at Winding Creek South</t>
  </si>
  <si>
    <t>January 1-August 31, 2025</t>
  </si>
  <si>
    <t>Income</t>
  </si>
  <si>
    <t>Condo Fees - South</t>
  </si>
  <si>
    <t>Total for Income</t>
  </si>
  <si>
    <t>Cost of Goods Sold</t>
  </si>
  <si>
    <t>Gross Profit</t>
  </si>
  <si>
    <t>Expenses</t>
  </si>
  <si>
    <t>Accounting Fees - South</t>
  </si>
  <si>
    <t>Electric for Irrigation - South</t>
  </si>
  <si>
    <t>Fertilizing - South</t>
  </si>
  <si>
    <t>Insurance - South</t>
  </si>
  <si>
    <t>Mowing/Lawn Maint. - South</t>
  </si>
  <si>
    <t>Mulching - South</t>
  </si>
  <si>
    <t>Office Supplies &amp; Software - South</t>
  </si>
  <si>
    <t>Snow Removal - South</t>
  </si>
  <si>
    <t>Snow Removal - Street</t>
  </si>
  <si>
    <t>Spring Clean Beds - South</t>
  </si>
  <si>
    <t>Sprinkler Repair - South</t>
  </si>
  <si>
    <t>Water for Irrigation - South</t>
  </si>
  <si>
    <t>Total for Expenses</t>
  </si>
  <si>
    <t>Net Operating Income</t>
  </si>
  <si>
    <t>Other Income</t>
  </si>
  <si>
    <t>Dividend Income</t>
  </si>
  <si>
    <t>Interest Income</t>
  </si>
  <si>
    <t>Late Fees</t>
  </si>
  <si>
    <t>Total for Other Income</t>
  </si>
  <si>
    <t>Other Expenses</t>
  </si>
  <si>
    <t>Income Tax</t>
  </si>
  <si>
    <t>Total for Other Expenses</t>
  </si>
  <si>
    <t>Net Other Income</t>
  </si>
  <si>
    <t>Net Income</t>
  </si>
  <si>
    <t>Distribution account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</si>
  <si>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</si>
  <si>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</si>
  <si>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</si>
  <si>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</si>
  <si>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</si>
  <si>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</si>
  <si>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</si>
  <si>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</si>
  <si>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Total</t>
  </si>
  <si>
    <t>Accrual Basis Thursday, September 11, 2025 01:10 PM GMTZ</t>
  </si>
  <si>
    <t>Street Maintenance</t>
  </si>
  <si>
    <t>Cumulative</t>
  </si>
  <si>
    <t>Budget</t>
  </si>
  <si>
    <t>Misc</t>
  </si>
  <si>
    <t>Var</t>
  </si>
  <si>
    <t>Balance Sheet</t>
  </si>
  <si>
    <t>As of August 31, 2025</t>
  </si>
  <si>
    <t>Assets</t>
  </si>
  <si>
    <t>Current Assets</t>
  </si>
  <si>
    <t>Bank Accounts</t>
  </si>
  <si>
    <t>Chase Bank Checking</t>
  </si>
  <si>
    <t>Chase Bank - TR South</t>
  </si>
  <si>
    <t>Edward Jones Investment Account</t>
  </si>
  <si>
    <t>Total for Bank Accounts</t>
  </si>
  <si>
    <t>Accounts Receivable</t>
  </si>
  <si>
    <t>Total for Accounts Receivable</t>
  </si>
  <si>
    <t>Other Current Assets</t>
  </si>
  <si>
    <t>AR Other - North</t>
  </si>
  <si>
    <t>Undeposited Funds</t>
  </si>
  <si>
    <t>Total for Other Current Assets</t>
  </si>
  <si>
    <t>Total for Current Assets</t>
  </si>
  <si>
    <t>Fixed Assets</t>
  </si>
  <si>
    <t>Other Assets</t>
  </si>
  <si>
    <t>Total for Assets</t>
  </si>
  <si>
    <t>Liabilities and Equity</t>
  </si>
  <si>
    <t>Liabilities</t>
  </si>
  <si>
    <t>Current Liabilities</t>
  </si>
  <si>
    <t>Accounts Payable</t>
  </si>
  <si>
    <t>Total for Accounts Payable</t>
  </si>
  <si>
    <t>Credit Cards</t>
  </si>
  <si>
    <t>Other Current Liabilities</t>
  </si>
  <si>
    <t>Accrued Income Tax</t>
  </si>
  <si>
    <t>Total for Other Current Liabilities</t>
  </si>
  <si>
    <t>Total for Current Liabilities</t>
  </si>
  <si>
    <t>Long-term Liabilities</t>
  </si>
  <si>
    <t>Reserve for Replacement</t>
  </si>
  <si>
    <t>Monthly Reserve Fees - South</t>
  </si>
  <si>
    <t>Reserve Deposits - North</t>
  </si>
  <si>
    <t>Reserve Deposits - South</t>
  </si>
  <si>
    <t>Total for Reserve for Replacement</t>
  </si>
  <si>
    <t>Total for Long-term Liabilities</t>
  </si>
  <si>
    <t>Total for Liabilities</t>
  </si>
  <si>
    <t>Equity</t>
  </si>
  <si>
    <t>Opening Balance Equity</t>
  </si>
  <si>
    <t>Retained Earnings</t>
  </si>
  <si>
    <t>Total for Equity</t>
  </si>
  <si>
    <t>Total for Liabilities and Equity</t>
  </si>
  <si>
    <t>Total as of 9/11/25</t>
  </si>
  <si>
    <t>Income Statement</t>
  </si>
  <si>
    <t>We are currently approx $1,700 under budget (Favorable)</t>
  </si>
  <si>
    <t>Main Contributing Factors</t>
  </si>
  <si>
    <t>3 snow removals instead of 5</t>
  </si>
  <si>
    <t>Favorable</t>
  </si>
  <si>
    <t>Sprinkler Repairs</t>
  </si>
  <si>
    <t>Irrigation</t>
  </si>
  <si>
    <t>Unfavorable</t>
  </si>
  <si>
    <t>Cash</t>
  </si>
  <si>
    <t>Operating</t>
  </si>
  <si>
    <t>Investment</t>
  </si>
  <si>
    <t>Investments</t>
  </si>
  <si>
    <t>All CD's are 4% or higher</t>
  </si>
  <si>
    <t>Road Fund</t>
  </si>
  <si>
    <t>No Outstanding Account Receivable Balance</t>
  </si>
  <si>
    <t>Fertilization (One No Charge)</t>
  </si>
  <si>
    <t>Insurance (Change Carriers)</t>
  </si>
  <si>
    <t>TRSCA Financial Summary as of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</si>
</sst>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"/>
    <numFmt numFmtId="165" formatCode="_(* #,##0_);_(* \(#,##0\);_(* &quot;-&quot;??_);_(@_)"/>
  </numFmts>
  <fonts count="12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2" fillId="0" borderId="0"/>
    <xf numFmtId="0" fontId="2" fillId="0" borderId="2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5" fillId="0" borderId="1" xfId="2" applyFont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4" fillId="0" borderId="2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43" fontId="0" fillId="0" borderId="0" xfId="1" applyFont="1"/>
    <xf numFmtId="165" fontId="0" fillId="0" borderId="0" xfId="1" applyNumberFormat="1" applyFont="1"/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44" fontId="0" fillId="0" borderId="0" xfId="5" applyFont="1"/>
    <xf numFmtId="44" fontId="9" fillId="0" borderId="0" xfId="5" applyFont="1"/>
    <xf numFmtId="0" fontId="11" fillId="0" borderId="0" xfId="0" applyFont="1"/>
  </cellXfs>
  <cellStyles count="6">
    <cellStyle name="Comma" xfId="1" builtinId="3"/>
    <cellStyle name="Currency" xfId="5" builtinId="4"/>
    <cellStyle name="GroupedCellStyle" xfId="3" xr:uid="{00000000-0005-0000-0000-000007000000}"/>
    <cellStyle name="HeaderCellStyle" xfId="2" xr:uid="{00000000-0005-0000-0000-000006000000}"/>
    <cellStyle name="Normal" xfId="0" builtinId="0"/>
    <cellStyle name="TotalCellStyle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2</xdr:row>
      <xdr:rowOff>-1</xdr:rowOff>
    </xdr:from>
    <xdr:to>
      <xdr:col>18</xdr:col>
      <xdr:colOff>559592</xdr:colOff>
      <xdr:row>41</xdr:row>
      <xdr:rowOff>84935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E3C0D3-19B3-036B-3BD3-0FE47781A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9" y="404812"/>
          <a:ext cx="12061031" cy="7978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553D-5480-43BB-ADBC-36FE44D568C6}">
  <dimension ref="B3:I27"/>
  <sheetViews>
    <sheetView tabSelected="1" workbookViewId="0">
      <selection activeCell="E32" sqref="E32"/>
    </sheetView>
  </sheetViews>
  <sheetFormatPr defaultRowHeight="15.5" x14ac:dyDescent="0.35"/>
  <cols>
    <col min="8" max="8" width="10.9140625" style="26" bestFit="1" customWidth="1"/>
  </cols>
  <sheetData>
    <row r="3" spans="2:9" ht="21" x14ac:dyDescent="0.5">
      <c r="B3" s="28" t="s">
        <v>109</v>
      </c>
      <c r="C3" s="28"/>
      <c r="D3" s="28"/>
      <c r="E3" s="28"/>
    </row>
    <row r="5" spans="2:9" x14ac:dyDescent="0.35">
      <c r="B5" s="25" t="s">
        <v>92</v>
      </c>
    </row>
    <row r="6" spans="2:9" x14ac:dyDescent="0.35">
      <c r="B6" t="s">
        <v>93</v>
      </c>
    </row>
    <row r="8" spans="2:9" x14ac:dyDescent="0.35">
      <c r="C8" s="25" t="s">
        <v>94</v>
      </c>
    </row>
    <row r="9" spans="2:9" x14ac:dyDescent="0.35">
      <c r="D9" t="s">
        <v>95</v>
      </c>
      <c r="H9" s="26">
        <f>1146-201</f>
        <v>945</v>
      </c>
      <c r="I9" s="19" t="s">
        <v>96</v>
      </c>
    </row>
    <row r="10" spans="2:9" x14ac:dyDescent="0.35">
      <c r="D10" t="s">
        <v>97</v>
      </c>
      <c r="H10" s="26">
        <v>445</v>
      </c>
      <c r="I10" s="19" t="s">
        <v>96</v>
      </c>
    </row>
    <row r="11" spans="2:9" x14ac:dyDescent="0.35">
      <c r="D11" t="s">
        <v>98</v>
      </c>
      <c r="H11" s="26">
        <v>351</v>
      </c>
      <c r="I11" s="19" t="s">
        <v>96</v>
      </c>
    </row>
    <row r="12" spans="2:9" x14ac:dyDescent="0.35">
      <c r="D12" t="s">
        <v>107</v>
      </c>
      <c r="H12" s="26">
        <v>340</v>
      </c>
      <c r="I12" s="19" t="s">
        <v>96</v>
      </c>
    </row>
    <row r="13" spans="2:9" x14ac:dyDescent="0.35">
      <c r="D13" t="s">
        <v>108</v>
      </c>
      <c r="H13" s="26">
        <v>-410</v>
      </c>
      <c r="I13" s="19" t="s">
        <v>99</v>
      </c>
    </row>
    <row r="14" spans="2:9" x14ac:dyDescent="0.35">
      <c r="I14" s="19"/>
    </row>
    <row r="15" spans="2:9" x14ac:dyDescent="0.35">
      <c r="B15" s="25" t="s">
        <v>49</v>
      </c>
    </row>
    <row r="17" spans="3:8" x14ac:dyDescent="0.35">
      <c r="C17" s="25" t="s">
        <v>100</v>
      </c>
    </row>
    <row r="18" spans="3:8" x14ac:dyDescent="0.35">
      <c r="D18" t="s">
        <v>101</v>
      </c>
      <c r="H18" s="26">
        <v>4900</v>
      </c>
    </row>
    <row r="19" spans="3:8" x14ac:dyDescent="0.35">
      <c r="D19" t="s">
        <v>102</v>
      </c>
      <c r="H19" s="27">
        <v>77000</v>
      </c>
    </row>
    <row r="20" spans="3:8" x14ac:dyDescent="0.35">
      <c r="E20" t="s">
        <v>42</v>
      </c>
      <c r="H20" s="26">
        <f>SUM(H18:H19)</f>
        <v>81900</v>
      </c>
    </row>
    <row r="22" spans="3:8" x14ac:dyDescent="0.35">
      <c r="C22" s="25" t="s">
        <v>103</v>
      </c>
    </row>
    <row r="23" spans="3:8" x14ac:dyDescent="0.35">
      <c r="D23" t="s">
        <v>104</v>
      </c>
      <c r="H23" s="26">
        <v>68000</v>
      </c>
    </row>
    <row r="25" spans="3:8" x14ac:dyDescent="0.35">
      <c r="C25" s="25" t="s">
        <v>105</v>
      </c>
      <c r="H25" s="26">
        <v>70300</v>
      </c>
    </row>
    <row r="27" spans="3:8" x14ac:dyDescent="0.35">
      <c r="C27" s="25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L41"/>
  <sheetViews>
    <sheetView workbookViewId="0">
      <selection activeCell="K14" sqref="K14"/>
    </sheetView>
  </sheetViews>
  <sheetFormatPr defaultColWidth="11.33203125" defaultRowHeight="15.5" outlineLevelRow="1" x14ac:dyDescent="0.35"/>
  <cols>
    <col min="1" max="1" width="29.9140625" style="1" customWidth="1"/>
    <col min="2" max="2" width="11.08203125" style="1" customWidth="1"/>
    <col min="3" max="3" width="11.6640625" style="1" customWidth="1"/>
    <col min="4" max="4" width="9.1640625" style="1" customWidth="1"/>
    <col min="5" max="5" width="11.33203125" style="1" customWidth="1"/>
    <col min="6" max="6" width="11.83203125" style="1" customWidth="1"/>
    <col min="7" max="7" width="11.4140625" style="1" customWidth="1"/>
    <col min="8" max="8" width="10.58203125" style="1" customWidth="1"/>
    <col min="9" max="9" width="11.9140625" style="1" customWidth="1"/>
    <col min="10" max="12" width="16.08203125" style="1" customWidth="1"/>
  </cols>
  <sheetData>
    <row r="1" spans="1:12" ht="16" x14ac:dyDescent="0.4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/>
      <c r="L1"/>
    </row>
    <row r="2" spans="1:12" x14ac:dyDescent="0.35">
      <c r="A2" s="22" t="s">
        <v>1</v>
      </c>
      <c r="B2" s="21"/>
      <c r="C2" s="21"/>
      <c r="D2" s="21"/>
      <c r="E2" s="21"/>
      <c r="F2" s="21"/>
      <c r="G2" s="21"/>
      <c r="H2" s="21"/>
      <c r="I2" s="21"/>
      <c r="J2" s="21"/>
      <c r="K2"/>
      <c r="L2"/>
    </row>
    <row r="3" spans="1:12" x14ac:dyDescent="0.35">
      <c r="A3" s="23" t="s">
        <v>2</v>
      </c>
      <c r="B3" s="21"/>
      <c r="C3" s="21"/>
      <c r="D3" s="21"/>
      <c r="E3" s="21"/>
      <c r="F3" s="21"/>
      <c r="G3" s="21"/>
      <c r="H3" s="21"/>
      <c r="I3" s="21"/>
      <c r="J3" s="21"/>
      <c r="K3"/>
      <c r="L3"/>
    </row>
    <row r="4" spans="1:12" x14ac:dyDescent="0.35">
      <c r="A4" s="5" t="s">
        <v>33</v>
      </c>
      <c r="B4" s="5" t="s">
        <v>34</v>
      </c>
      <c r="C4" s="5" t="s">
        <v>35</v>
      </c>
      <c r="D4" s="5" t="s">
        <v>36</v>
      </c>
      <c r="E4" s="5" t="s">
        <v>37</v>
      </c>
      <c r="F4" s="5" t="s">
        <v>38</v>
      </c>
      <c r="G4" s="5" t="s">
        <v>39</v>
      </c>
      <c r="H4" s="5" t="s">
        <v>40</v>
      </c>
      <c r="I4" s="5" t="s">
        <v>41</v>
      </c>
      <c r="J4" s="5" t="s">
        <v>42</v>
      </c>
      <c r="K4" s="5" t="s">
        <v>46</v>
      </c>
      <c r="L4" s="5" t="s">
        <v>48</v>
      </c>
    </row>
    <row r="5" spans="1:12" x14ac:dyDescent="0.35">
      <c r="A5" s="2" t="s">
        <v>3</v>
      </c>
      <c r="B5" s="6"/>
      <c r="C5" s="6"/>
      <c r="D5" s="6"/>
      <c r="E5" s="6"/>
      <c r="F5" s="6"/>
      <c r="G5" s="6"/>
      <c r="H5" s="6"/>
      <c r="I5" s="6"/>
    </row>
    <row r="6" spans="1:12" outlineLevel="1" x14ac:dyDescent="0.35">
      <c r="A6" s="3" t="s">
        <v>4</v>
      </c>
      <c r="B6" s="7">
        <v>3705</v>
      </c>
      <c r="C6" s="7">
        <v>3705</v>
      </c>
      <c r="D6" s="7">
        <v>3705</v>
      </c>
      <c r="E6" s="7">
        <v>3705</v>
      </c>
      <c r="F6" s="7">
        <v>3705</v>
      </c>
      <c r="G6" s="7">
        <v>3705</v>
      </c>
      <c r="H6" s="7">
        <v>3705</v>
      </c>
      <c r="I6" s="7">
        <v>3705</v>
      </c>
      <c r="J6" s="7">
        <f>B6+C6+D6+E6+F6+G6+H6+I6</f>
        <v>29640</v>
      </c>
      <c r="K6" s="7">
        <v>29640</v>
      </c>
      <c r="L6" s="7">
        <f>J6-K6</f>
        <v>0</v>
      </c>
    </row>
    <row r="7" spans="1:12" x14ac:dyDescent="0.35">
      <c r="A7" s="4" t="s">
        <v>5</v>
      </c>
      <c r="B7" s="8">
        <f t="shared" ref="B7:I7" si="0">B6</f>
        <v>3705</v>
      </c>
      <c r="C7" s="8">
        <f t="shared" si="0"/>
        <v>3705</v>
      </c>
      <c r="D7" s="8">
        <f t="shared" si="0"/>
        <v>3705</v>
      </c>
      <c r="E7" s="8">
        <f t="shared" si="0"/>
        <v>3705</v>
      </c>
      <c r="F7" s="8">
        <f t="shared" si="0"/>
        <v>3705</v>
      </c>
      <c r="G7" s="8">
        <f t="shared" si="0"/>
        <v>3705</v>
      </c>
      <c r="H7" s="8">
        <f t="shared" si="0"/>
        <v>3705</v>
      </c>
      <c r="I7" s="8">
        <f t="shared" si="0"/>
        <v>3705</v>
      </c>
      <c r="J7" s="9">
        <f>B7+C7+D7+E7+F7+G7+H7+I7</f>
        <v>29640</v>
      </c>
      <c r="K7" s="9">
        <f>K6</f>
        <v>29640</v>
      </c>
      <c r="L7" s="9"/>
    </row>
    <row r="8" spans="1:12" hidden="1" x14ac:dyDescent="0.35">
      <c r="A8" s="2" t="s">
        <v>6</v>
      </c>
      <c r="B8" s="6"/>
      <c r="C8" s="6"/>
      <c r="D8" s="6"/>
      <c r="E8" s="6"/>
      <c r="F8" s="6"/>
      <c r="G8" s="6"/>
      <c r="H8" s="6"/>
      <c r="I8" s="6"/>
      <c r="J8" s="7">
        <f>B8+C8+D8+E8+F8+G8+H8+I8</f>
        <v>0</v>
      </c>
      <c r="K8" s="7"/>
      <c r="L8" s="7"/>
    </row>
    <row r="9" spans="1:12" hidden="1" x14ac:dyDescent="0.35">
      <c r="A9" s="4" t="s">
        <v>7</v>
      </c>
      <c r="B9" s="8">
        <f t="shared" ref="B9:I9" si="1">B7-B8</f>
        <v>3705</v>
      </c>
      <c r="C9" s="8">
        <f t="shared" si="1"/>
        <v>3705</v>
      </c>
      <c r="D9" s="8">
        <f t="shared" si="1"/>
        <v>3705</v>
      </c>
      <c r="E9" s="8">
        <f t="shared" si="1"/>
        <v>3705</v>
      </c>
      <c r="F9" s="8">
        <f t="shared" si="1"/>
        <v>3705</v>
      </c>
      <c r="G9" s="8">
        <f t="shared" si="1"/>
        <v>3705</v>
      </c>
      <c r="H9" s="8">
        <f t="shared" si="1"/>
        <v>3705</v>
      </c>
      <c r="I9" s="8">
        <f t="shared" si="1"/>
        <v>3705</v>
      </c>
      <c r="J9" s="9">
        <f>B9+C9+D9+E9+F9+G9+H9+I9</f>
        <v>29640</v>
      </c>
      <c r="K9" s="9">
        <f>K7</f>
        <v>29640</v>
      </c>
      <c r="L9" s="9">
        <f>J9-K9</f>
        <v>0</v>
      </c>
    </row>
    <row r="10" spans="1:12" x14ac:dyDescent="0.35">
      <c r="A10" s="2" t="s">
        <v>8</v>
      </c>
      <c r="B10" s="6"/>
      <c r="C10" s="6"/>
      <c r="D10" s="6"/>
      <c r="E10" s="6"/>
      <c r="F10" s="6"/>
      <c r="G10" s="6"/>
      <c r="H10" s="6"/>
      <c r="I10" s="6"/>
    </row>
    <row r="11" spans="1:12" outlineLevel="1" x14ac:dyDescent="0.35">
      <c r="A11" s="3" t="s">
        <v>9</v>
      </c>
      <c r="B11" s="7">
        <v>194.39</v>
      </c>
      <c r="C11" s="7">
        <v>194.39</v>
      </c>
      <c r="D11" s="7">
        <v>194.39</v>
      </c>
      <c r="E11" s="7">
        <v>194.39</v>
      </c>
      <c r="F11" s="7">
        <v>194.39</v>
      </c>
      <c r="G11" s="7">
        <v>194.39</v>
      </c>
      <c r="H11" s="7">
        <v>205.06</v>
      </c>
      <c r="I11" s="7">
        <v>205.06</v>
      </c>
      <c r="J11" s="7">
        <f t="shared" ref="J11:J26" si="2">B11+C11+D11+E11+F11+G11+H11+I11</f>
        <v>1576.4599999999998</v>
      </c>
      <c r="K11" s="7">
        <v>1585.02</v>
      </c>
      <c r="L11" s="7">
        <f>J11-K11</f>
        <v>-8.5600000000001728</v>
      </c>
    </row>
    <row r="12" spans="1:12" outlineLevel="1" x14ac:dyDescent="0.35">
      <c r="A12" s="3" t="s">
        <v>10</v>
      </c>
      <c r="B12" s="7">
        <v>22.4</v>
      </c>
      <c r="C12" s="7">
        <v>22.4</v>
      </c>
      <c r="D12" s="7">
        <v>22.4</v>
      </c>
      <c r="E12" s="7">
        <v>24.08</v>
      </c>
      <c r="F12" s="7">
        <v>24.08</v>
      </c>
      <c r="G12" s="7">
        <v>24.08</v>
      </c>
      <c r="H12" s="7">
        <v>24.08</v>
      </c>
      <c r="I12" s="7">
        <v>24.08</v>
      </c>
      <c r="J12" s="7">
        <f t="shared" si="2"/>
        <v>187.59999999999997</v>
      </c>
      <c r="K12" s="7">
        <v>156.1</v>
      </c>
      <c r="L12" s="7">
        <f t="shared" ref="L12:L24" si="3">J12-K12</f>
        <v>31.499999999999972</v>
      </c>
    </row>
    <row r="13" spans="1:12" outlineLevel="1" x14ac:dyDescent="0.35">
      <c r="A13" s="3" t="s">
        <v>11</v>
      </c>
      <c r="B13" s="6"/>
      <c r="C13" s="6"/>
      <c r="D13" s="6"/>
      <c r="E13" s="7">
        <v>341.4</v>
      </c>
      <c r="F13" s="6"/>
      <c r="G13" s="7">
        <v>341.4</v>
      </c>
      <c r="H13" s="6"/>
      <c r="I13" s="6"/>
      <c r="J13" s="7">
        <f t="shared" si="2"/>
        <v>682.8</v>
      </c>
      <c r="K13" s="7">
        <v>1023.68</v>
      </c>
      <c r="L13" s="7">
        <f t="shared" si="3"/>
        <v>-340.88</v>
      </c>
    </row>
    <row r="14" spans="1:12" outlineLevel="1" x14ac:dyDescent="0.35">
      <c r="A14" s="3" t="s">
        <v>12</v>
      </c>
      <c r="B14" s="6"/>
      <c r="C14" s="6"/>
      <c r="D14" s="6"/>
      <c r="E14" s="7">
        <v>837</v>
      </c>
      <c r="F14" s="6"/>
      <c r="G14" s="6"/>
      <c r="H14" s="6"/>
      <c r="I14" s="6"/>
      <c r="J14" s="7">
        <f t="shared" si="2"/>
        <v>837</v>
      </c>
      <c r="K14" s="7">
        <v>427.22</v>
      </c>
      <c r="L14" s="7">
        <f t="shared" si="3"/>
        <v>409.78</v>
      </c>
    </row>
    <row r="15" spans="1:12" outlineLevel="1" x14ac:dyDescent="0.35">
      <c r="A15" s="3" t="s">
        <v>47</v>
      </c>
      <c r="B15" s="6"/>
      <c r="C15" s="6"/>
      <c r="D15" s="6"/>
      <c r="E15" s="7"/>
      <c r="F15" s="6"/>
      <c r="G15" s="6"/>
      <c r="H15" s="6"/>
      <c r="I15" s="6"/>
      <c r="J15" s="7"/>
      <c r="K15" s="7">
        <v>57.5</v>
      </c>
      <c r="L15" s="7">
        <f t="shared" si="3"/>
        <v>-57.5</v>
      </c>
    </row>
    <row r="16" spans="1:12" outlineLevel="1" x14ac:dyDescent="0.35">
      <c r="A16" s="3" t="s">
        <v>13</v>
      </c>
      <c r="B16" s="6"/>
      <c r="C16" s="6"/>
      <c r="D16" s="6"/>
      <c r="E16" s="7">
        <v>2694.68</v>
      </c>
      <c r="F16" s="7">
        <f>2694.68+1393.09</f>
        <v>4087.7699999999995</v>
      </c>
      <c r="G16" s="7">
        <v>3036.08</v>
      </c>
      <c r="H16" s="7">
        <v>2694.68</v>
      </c>
      <c r="I16" s="7">
        <v>2694.68</v>
      </c>
      <c r="J16" s="7">
        <f t="shared" si="2"/>
        <v>15207.89</v>
      </c>
      <c r="K16" s="7">
        <v>15282.86</v>
      </c>
      <c r="L16" s="7">
        <f t="shared" si="3"/>
        <v>-74.970000000001164</v>
      </c>
    </row>
    <row r="17" spans="1:12" outlineLevel="1" x14ac:dyDescent="0.35">
      <c r="A17" s="3" t="s">
        <v>14</v>
      </c>
      <c r="B17" s="6"/>
      <c r="C17" s="6"/>
      <c r="D17" s="6"/>
      <c r="E17" s="6"/>
      <c r="F17" s="7">
        <v>4456.8100000000004</v>
      </c>
      <c r="G17" s="6"/>
      <c r="H17" s="6"/>
      <c r="I17" s="6"/>
      <c r="J17" s="7">
        <f t="shared" si="2"/>
        <v>4456.8100000000004</v>
      </c>
      <c r="K17" s="7">
        <v>4376.75</v>
      </c>
      <c r="L17" s="7">
        <f t="shared" si="3"/>
        <v>80.0600000000004</v>
      </c>
    </row>
    <row r="18" spans="1:12" outlineLevel="1" x14ac:dyDescent="0.35">
      <c r="A18" s="3" t="s">
        <v>15</v>
      </c>
      <c r="B18" s="7">
        <v>22</v>
      </c>
      <c r="C18" s="7">
        <v>22</v>
      </c>
      <c r="D18" s="7">
        <v>22</v>
      </c>
      <c r="E18" s="7">
        <v>22</v>
      </c>
      <c r="F18" s="7">
        <v>22</v>
      </c>
      <c r="G18" s="7">
        <v>22</v>
      </c>
      <c r="H18" s="7">
        <v>22</v>
      </c>
      <c r="I18" s="7">
        <v>22</v>
      </c>
      <c r="J18" s="7">
        <f t="shared" si="2"/>
        <v>176</v>
      </c>
      <c r="K18" s="7">
        <v>182.16</v>
      </c>
      <c r="L18" s="7">
        <f t="shared" si="3"/>
        <v>-6.1599999999999966</v>
      </c>
    </row>
    <row r="19" spans="1:12" outlineLevel="1" x14ac:dyDescent="0.35">
      <c r="A19" s="3" t="s">
        <v>16</v>
      </c>
      <c r="B19" s="7">
        <v>1014.13</v>
      </c>
      <c r="C19" s="7">
        <v>507.06</v>
      </c>
      <c r="D19" s="6"/>
      <c r="E19" s="6"/>
      <c r="F19" s="6"/>
      <c r="G19" s="6"/>
      <c r="H19" s="6"/>
      <c r="I19" s="6"/>
      <c r="J19" s="7">
        <f t="shared" si="2"/>
        <v>1521.19</v>
      </c>
      <c r="K19" s="7">
        <v>2667.26</v>
      </c>
      <c r="L19" s="7">
        <f t="shared" si="3"/>
        <v>-1146.0700000000002</v>
      </c>
    </row>
    <row r="20" spans="1:12" outlineLevel="1" x14ac:dyDescent="0.35">
      <c r="A20" s="3" t="s">
        <v>17</v>
      </c>
      <c r="B20" s="7">
        <v>288.23</v>
      </c>
      <c r="C20" s="7">
        <v>144.11000000000001</v>
      </c>
      <c r="D20" s="6"/>
      <c r="E20" s="6"/>
      <c r="F20" s="6"/>
      <c r="G20" s="6"/>
      <c r="H20" s="6"/>
      <c r="I20" s="6"/>
      <c r="J20" s="7">
        <f t="shared" si="2"/>
        <v>432.34000000000003</v>
      </c>
      <c r="K20" s="7">
        <v>230.64</v>
      </c>
      <c r="L20" s="7">
        <f t="shared" si="3"/>
        <v>201.70000000000005</v>
      </c>
    </row>
    <row r="21" spans="1:12" hidden="1" outlineLevel="1" x14ac:dyDescent="0.35">
      <c r="A21" s="3" t="s">
        <v>18</v>
      </c>
      <c r="B21" s="6"/>
      <c r="C21" s="6"/>
      <c r="D21" s="6"/>
      <c r="E21" s="6"/>
      <c r="F21" s="7"/>
      <c r="G21" s="6"/>
      <c r="H21" s="6"/>
      <c r="I21" s="6"/>
      <c r="J21" s="7">
        <f t="shared" si="2"/>
        <v>0</v>
      </c>
      <c r="K21" s="7"/>
      <c r="L21" s="7">
        <f t="shared" si="3"/>
        <v>0</v>
      </c>
    </row>
    <row r="22" spans="1:12" outlineLevel="1" x14ac:dyDescent="0.35">
      <c r="A22" s="3" t="s">
        <v>19</v>
      </c>
      <c r="B22" s="6"/>
      <c r="C22" s="6"/>
      <c r="D22" s="6"/>
      <c r="E22" s="6"/>
      <c r="F22" s="7">
        <v>796.99</v>
      </c>
      <c r="G22" s="7">
        <v>443.94</v>
      </c>
      <c r="H22" s="7">
        <v>633.19000000000005</v>
      </c>
      <c r="I22" s="6"/>
      <c r="J22" s="7">
        <f t="shared" si="2"/>
        <v>1874.1200000000001</v>
      </c>
      <c r="K22" s="7">
        <v>2320.34</v>
      </c>
      <c r="L22" s="7">
        <f t="shared" si="3"/>
        <v>-446.22</v>
      </c>
    </row>
    <row r="23" spans="1:12" outlineLevel="1" x14ac:dyDescent="0.35">
      <c r="A23" s="3" t="s">
        <v>44</v>
      </c>
      <c r="B23" s="6"/>
      <c r="C23" s="6"/>
      <c r="D23" s="6"/>
      <c r="E23" s="6"/>
      <c r="F23" s="7"/>
      <c r="G23" s="7"/>
      <c r="H23" s="7"/>
      <c r="I23" s="7">
        <v>4357</v>
      </c>
      <c r="J23" s="7">
        <f t="shared" si="2"/>
        <v>4357</v>
      </c>
      <c r="K23" s="7">
        <v>4347</v>
      </c>
      <c r="L23" s="7">
        <f t="shared" si="3"/>
        <v>10</v>
      </c>
    </row>
    <row r="24" spans="1:12" outlineLevel="1" x14ac:dyDescent="0.35">
      <c r="A24" s="3" t="s">
        <v>20</v>
      </c>
      <c r="B24" s="6"/>
      <c r="C24" s="7">
        <v>25.96</v>
      </c>
      <c r="D24" s="6"/>
      <c r="E24" s="6"/>
      <c r="F24" s="7">
        <v>25.96</v>
      </c>
      <c r="G24" s="6"/>
      <c r="H24" s="6"/>
      <c r="I24" s="7">
        <v>1012.45</v>
      </c>
      <c r="J24" s="7">
        <f t="shared" si="2"/>
        <v>1064.3700000000001</v>
      </c>
      <c r="K24" s="7">
        <v>1415.56</v>
      </c>
      <c r="L24" s="7">
        <f t="shared" si="3"/>
        <v>-351.18999999999983</v>
      </c>
    </row>
    <row r="25" spans="1:12" x14ac:dyDescent="0.35">
      <c r="A25" s="4" t="s">
        <v>21</v>
      </c>
      <c r="B25" s="8">
        <f>B11+B12+B13+B14+B16+B17+B18+B19+B20+B21+B22+B24+B23</f>
        <v>1541.15</v>
      </c>
      <c r="C25" s="8">
        <f t="shared" ref="C25:I25" si="4">C11+C12+C13+C14+C16+C17+C18+C19+C20+C21+C22+C24+C23</f>
        <v>915.92000000000007</v>
      </c>
      <c r="D25" s="8">
        <f t="shared" si="4"/>
        <v>238.79</v>
      </c>
      <c r="E25" s="8">
        <f t="shared" si="4"/>
        <v>4113.5499999999993</v>
      </c>
      <c r="F25" s="8">
        <f t="shared" si="4"/>
        <v>9607.9999999999982</v>
      </c>
      <c r="G25" s="8">
        <f t="shared" si="4"/>
        <v>4061.89</v>
      </c>
      <c r="H25" s="8">
        <f t="shared" si="4"/>
        <v>3579.0099999999998</v>
      </c>
      <c r="I25" s="8">
        <f t="shared" si="4"/>
        <v>8315.27</v>
      </c>
      <c r="J25" s="9">
        <f t="shared" si="2"/>
        <v>32373.579999999994</v>
      </c>
      <c r="K25" s="9">
        <f>SUM(K11:K24)</f>
        <v>34072.090000000004</v>
      </c>
      <c r="L25" s="9">
        <f>J25-K25</f>
        <v>-1698.5100000000093</v>
      </c>
    </row>
    <row r="26" spans="1:12" x14ac:dyDescent="0.35">
      <c r="A26" s="4" t="s">
        <v>22</v>
      </c>
      <c r="B26" s="8">
        <f t="shared" ref="B26:I26" si="5">B9-B25</f>
        <v>2163.85</v>
      </c>
      <c r="C26" s="8">
        <f t="shared" si="5"/>
        <v>2789.08</v>
      </c>
      <c r="D26" s="8">
        <f t="shared" si="5"/>
        <v>3466.21</v>
      </c>
      <c r="E26" s="8">
        <f t="shared" si="5"/>
        <v>-408.54999999999927</v>
      </c>
      <c r="F26" s="8">
        <f t="shared" si="5"/>
        <v>-5902.9999999999982</v>
      </c>
      <c r="G26" s="8">
        <f t="shared" si="5"/>
        <v>-356.88999999999987</v>
      </c>
      <c r="H26" s="8">
        <f t="shared" si="5"/>
        <v>125.99000000000024</v>
      </c>
      <c r="I26" s="8">
        <f t="shared" si="5"/>
        <v>-4610.2700000000004</v>
      </c>
      <c r="J26" s="9">
        <f t="shared" si="2"/>
        <v>-2733.5799999999981</v>
      </c>
      <c r="K26" s="9">
        <f>K9-K25</f>
        <v>-4432.0900000000038</v>
      </c>
      <c r="L26" s="9">
        <f>J26-K26</f>
        <v>1698.5100000000057</v>
      </c>
    </row>
    <row r="27" spans="1:12" x14ac:dyDescent="0.35">
      <c r="A27" s="4" t="s">
        <v>45</v>
      </c>
      <c r="B27" s="10">
        <f>B26</f>
        <v>2163.85</v>
      </c>
      <c r="C27" s="10">
        <f>B27+C26</f>
        <v>4952.93</v>
      </c>
      <c r="D27" s="10">
        <f t="shared" ref="D27:I27" si="6">C27+D26</f>
        <v>8419.14</v>
      </c>
      <c r="E27" s="10">
        <f t="shared" si="6"/>
        <v>8010.59</v>
      </c>
      <c r="F27" s="10">
        <f t="shared" si="6"/>
        <v>2107.590000000002</v>
      </c>
      <c r="G27" s="10">
        <f t="shared" si="6"/>
        <v>1750.7000000000021</v>
      </c>
      <c r="H27" s="10">
        <f t="shared" si="6"/>
        <v>1876.6900000000023</v>
      </c>
      <c r="I27" s="10">
        <f t="shared" si="6"/>
        <v>-2733.5799999999981</v>
      </c>
      <c r="J27" s="11"/>
      <c r="K27" s="11"/>
      <c r="L27" s="11"/>
    </row>
    <row r="28" spans="1:12" x14ac:dyDescent="0.35">
      <c r="A28" s="2" t="s">
        <v>23</v>
      </c>
      <c r="B28" s="6"/>
      <c r="C28" s="6"/>
      <c r="D28" s="6"/>
      <c r="E28" s="6"/>
      <c r="F28" s="6"/>
      <c r="G28" s="6"/>
      <c r="H28" s="6"/>
      <c r="I28" s="6"/>
    </row>
    <row r="29" spans="1:12" outlineLevel="1" x14ac:dyDescent="0.35">
      <c r="A29" s="3" t="s">
        <v>24</v>
      </c>
      <c r="B29" s="7">
        <v>23.74</v>
      </c>
      <c r="C29" s="7">
        <v>83.94</v>
      </c>
      <c r="D29" s="7">
        <v>91.12</v>
      </c>
      <c r="E29" s="7">
        <v>105.26</v>
      </c>
      <c r="F29" s="7">
        <v>120.42</v>
      </c>
      <c r="G29" s="7">
        <v>46.31</v>
      </c>
      <c r="H29" s="7">
        <v>44.83</v>
      </c>
      <c r="I29" s="7">
        <v>80.34</v>
      </c>
      <c r="J29" s="7">
        <f>B29+C29+D29+E29+F29+G29+H29+I29</f>
        <v>595.96</v>
      </c>
      <c r="K29" s="7">
        <v>300</v>
      </c>
      <c r="L29" s="7">
        <f>J29-K29</f>
        <v>295.96000000000004</v>
      </c>
    </row>
    <row r="30" spans="1:12" outlineLevel="1" x14ac:dyDescent="0.35">
      <c r="A30" s="3" t="s">
        <v>25</v>
      </c>
      <c r="B30" s="7">
        <v>343.35</v>
      </c>
      <c r="C30" s="7">
        <v>561.6</v>
      </c>
      <c r="D30" s="7">
        <v>73.099999999999994</v>
      </c>
      <c r="E30" s="7">
        <v>422.47</v>
      </c>
      <c r="F30" s="7">
        <v>78.739999999999995</v>
      </c>
      <c r="G30" s="7">
        <v>79.41</v>
      </c>
      <c r="H30" s="7">
        <v>37.54</v>
      </c>
      <c r="I30" s="7">
        <v>252.01</v>
      </c>
      <c r="J30" s="7">
        <f>B30+C30+D30+E30+F30+G30+H30+I30</f>
        <v>1848.22</v>
      </c>
      <c r="K30" s="7">
        <f>535.96*2</f>
        <v>1071.92</v>
      </c>
      <c r="L30" s="7">
        <f>J30-K30</f>
        <v>776.3</v>
      </c>
    </row>
    <row r="31" spans="1:12" outlineLevel="1" x14ac:dyDescent="0.35">
      <c r="A31" s="3" t="s">
        <v>26</v>
      </c>
      <c r="B31" s="6"/>
      <c r="C31" s="6"/>
      <c r="D31" s="7">
        <v>0</v>
      </c>
      <c r="E31" s="6"/>
      <c r="F31" s="6"/>
      <c r="G31" s="6"/>
      <c r="H31" s="6"/>
      <c r="I31" s="6"/>
      <c r="J31" s="7">
        <f>B31+C31+D31+E31+F31+G31+H31+I31</f>
        <v>0</v>
      </c>
      <c r="K31" s="7"/>
      <c r="L31" s="7"/>
    </row>
    <row r="32" spans="1:12" x14ac:dyDescent="0.35">
      <c r="A32" s="4" t="s">
        <v>27</v>
      </c>
      <c r="B32" s="8">
        <f t="shared" ref="B32:I32" si="7">B29+B30+B31</f>
        <v>367.09000000000003</v>
      </c>
      <c r="C32" s="8">
        <f t="shared" si="7"/>
        <v>645.54</v>
      </c>
      <c r="D32" s="8">
        <f t="shared" si="7"/>
        <v>164.22</v>
      </c>
      <c r="E32" s="8">
        <f t="shared" si="7"/>
        <v>527.73</v>
      </c>
      <c r="F32" s="8">
        <f t="shared" si="7"/>
        <v>199.16</v>
      </c>
      <c r="G32" s="8">
        <f t="shared" si="7"/>
        <v>125.72</v>
      </c>
      <c r="H32" s="8">
        <f t="shared" si="7"/>
        <v>82.37</v>
      </c>
      <c r="I32" s="8">
        <f t="shared" si="7"/>
        <v>332.35</v>
      </c>
      <c r="J32" s="9">
        <f>B32+C32+D32+E32+F32+G32+H32+I32</f>
        <v>2444.1799999999998</v>
      </c>
      <c r="K32" s="9">
        <f>SUM(K29:K31)</f>
        <v>1371.92</v>
      </c>
      <c r="L32" s="9">
        <f>SUM(L29:L31)</f>
        <v>1072.26</v>
      </c>
    </row>
    <row r="33" spans="1:12" x14ac:dyDescent="0.35">
      <c r="A33" s="2" t="s">
        <v>28</v>
      </c>
      <c r="B33" s="6"/>
      <c r="C33" s="6"/>
      <c r="D33" s="6"/>
      <c r="E33" s="6"/>
      <c r="F33" s="6"/>
      <c r="G33" s="6"/>
      <c r="H33" s="6"/>
      <c r="I33" s="6"/>
    </row>
    <row r="34" spans="1:12" outlineLevel="1" x14ac:dyDescent="0.35">
      <c r="A34" s="3" t="s">
        <v>29</v>
      </c>
      <c r="B34" s="7">
        <f>B32*0.3</f>
        <v>110.12700000000001</v>
      </c>
      <c r="C34" s="7">
        <f t="shared" ref="C34:I34" si="8">C32*0.3</f>
        <v>193.66199999999998</v>
      </c>
      <c r="D34" s="7">
        <f t="shared" si="8"/>
        <v>49.265999999999998</v>
      </c>
      <c r="E34" s="7">
        <f t="shared" si="8"/>
        <v>158.31899999999999</v>
      </c>
      <c r="F34" s="7">
        <f t="shared" si="8"/>
        <v>59.747999999999998</v>
      </c>
      <c r="G34" s="7">
        <f t="shared" si="8"/>
        <v>37.716000000000001</v>
      </c>
      <c r="H34" s="7">
        <f t="shared" si="8"/>
        <v>24.711000000000002</v>
      </c>
      <c r="I34" s="7">
        <f t="shared" si="8"/>
        <v>99.704999999999998</v>
      </c>
      <c r="J34" s="7">
        <f>B34+C34+D34+E34+F34+G34+H34+I34</f>
        <v>733.25400000000013</v>
      </c>
      <c r="K34" s="7">
        <f>K32*0.3</f>
        <v>411.57600000000002</v>
      </c>
      <c r="L34" s="7">
        <f>J34-K34</f>
        <v>321.67800000000011</v>
      </c>
    </row>
    <row r="35" spans="1:12" x14ac:dyDescent="0.35">
      <c r="A35" s="4" t="s">
        <v>30</v>
      </c>
      <c r="B35" s="8">
        <f>B34</f>
        <v>110.12700000000001</v>
      </c>
      <c r="C35" s="8">
        <f t="shared" ref="C35:I35" si="9">C34</f>
        <v>193.66199999999998</v>
      </c>
      <c r="D35" s="8">
        <f t="shared" si="9"/>
        <v>49.265999999999998</v>
      </c>
      <c r="E35" s="8">
        <f t="shared" si="9"/>
        <v>158.31899999999999</v>
      </c>
      <c r="F35" s="8">
        <f t="shared" si="9"/>
        <v>59.747999999999998</v>
      </c>
      <c r="G35" s="8">
        <f t="shared" si="9"/>
        <v>37.716000000000001</v>
      </c>
      <c r="H35" s="8">
        <f t="shared" si="9"/>
        <v>24.711000000000002</v>
      </c>
      <c r="I35" s="8">
        <f t="shared" si="9"/>
        <v>99.704999999999998</v>
      </c>
      <c r="J35" s="9">
        <f>B35+C35+D35+E35+F35+G35+H35+I35</f>
        <v>733.25400000000013</v>
      </c>
      <c r="K35" s="9">
        <f>K34</f>
        <v>411.57600000000002</v>
      </c>
      <c r="L35" s="9">
        <f>L34</f>
        <v>321.67800000000011</v>
      </c>
    </row>
    <row r="36" spans="1:12" x14ac:dyDescent="0.35">
      <c r="A36" s="4" t="s">
        <v>31</v>
      </c>
      <c r="B36" s="8">
        <f t="shared" ref="B36:I36" si="10">B32-B35</f>
        <v>256.96300000000002</v>
      </c>
      <c r="C36" s="8">
        <f t="shared" si="10"/>
        <v>451.87799999999999</v>
      </c>
      <c r="D36" s="8">
        <f t="shared" si="10"/>
        <v>114.95400000000001</v>
      </c>
      <c r="E36" s="8">
        <f t="shared" si="10"/>
        <v>369.41100000000006</v>
      </c>
      <c r="F36" s="8">
        <f t="shared" si="10"/>
        <v>139.41200000000001</v>
      </c>
      <c r="G36" s="8">
        <f t="shared" si="10"/>
        <v>88.003999999999991</v>
      </c>
      <c r="H36" s="8">
        <f t="shared" si="10"/>
        <v>57.659000000000006</v>
      </c>
      <c r="I36" s="8">
        <f t="shared" si="10"/>
        <v>232.64500000000004</v>
      </c>
      <c r="J36" s="9">
        <f>B36+C36+D36+E36+F36+G36+H36+I36</f>
        <v>1710.9260000000002</v>
      </c>
      <c r="K36" s="9">
        <f>K32-K35</f>
        <v>960.34400000000005</v>
      </c>
      <c r="L36" s="9">
        <f>J36-K36</f>
        <v>750.58200000000011</v>
      </c>
    </row>
    <row r="37" spans="1:12" x14ac:dyDescent="0.35">
      <c r="A37" s="4" t="s">
        <v>32</v>
      </c>
      <c r="B37" s="8">
        <f t="shared" ref="B37:I37" si="11">B26+B36</f>
        <v>2420.8130000000001</v>
      </c>
      <c r="C37" s="8">
        <f t="shared" si="11"/>
        <v>3240.9580000000001</v>
      </c>
      <c r="D37" s="8">
        <f t="shared" si="11"/>
        <v>3581.1640000000002</v>
      </c>
      <c r="E37" s="8">
        <f t="shared" si="11"/>
        <v>-39.138999999999214</v>
      </c>
      <c r="F37" s="8">
        <f t="shared" si="11"/>
        <v>-5763.5879999999979</v>
      </c>
      <c r="G37" s="8">
        <f t="shared" si="11"/>
        <v>-268.88599999999985</v>
      </c>
      <c r="H37" s="8">
        <f t="shared" si="11"/>
        <v>183.64900000000023</v>
      </c>
      <c r="I37" s="8">
        <f t="shared" si="11"/>
        <v>-4377.625</v>
      </c>
      <c r="J37" s="9">
        <f>B37+C37+D37+E37+F37+G37+H37+I37</f>
        <v>-1022.6539999999954</v>
      </c>
      <c r="K37" s="9">
        <f>K26+K36</f>
        <v>-3471.7460000000037</v>
      </c>
      <c r="L37" s="9">
        <f>J37-K37</f>
        <v>2449.0920000000083</v>
      </c>
    </row>
    <row r="41" spans="1:12" x14ac:dyDescent="0.35">
      <c r="A41" s="24" t="s">
        <v>43</v>
      </c>
      <c r="B41" s="21"/>
      <c r="C41" s="21"/>
      <c r="D41" s="21"/>
      <c r="E41" s="21"/>
      <c r="F41" s="21"/>
      <c r="G41" s="21"/>
      <c r="H41" s="21"/>
      <c r="I41" s="21"/>
      <c r="J41" s="21"/>
      <c r="K41"/>
      <c r="L41"/>
    </row>
  </sheetData>
  <mergeCells count="4">
    <mergeCell ref="A1:J1"/>
    <mergeCell ref="A2:J2"/>
    <mergeCell ref="A3:J3"/>
    <mergeCell ref="A41:J4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0ED1-97A6-4F7B-8EA5-DCFC59AEB83C}">
  <dimension ref="A1:B52"/>
  <sheetViews>
    <sheetView workbookViewId="0">
      <selection activeCell="A18" sqref="A18"/>
    </sheetView>
  </sheetViews>
  <sheetFormatPr defaultColWidth="11.33203125" defaultRowHeight="15.5" outlineLevelRow="4" x14ac:dyDescent="0.35"/>
  <cols>
    <col min="1" max="1" width="30.6640625" style="1" customWidth="1"/>
    <col min="2" max="2" width="17" style="1" customWidth="1"/>
  </cols>
  <sheetData>
    <row r="1" spans="1:2" ht="16" x14ac:dyDescent="0.4">
      <c r="A1" s="20" t="s">
        <v>49</v>
      </c>
      <c r="B1" s="21"/>
    </row>
    <row r="2" spans="1:2" x14ac:dyDescent="0.35">
      <c r="A2" s="22" t="s">
        <v>1</v>
      </c>
      <c r="B2" s="21"/>
    </row>
    <row r="3" spans="1:2" x14ac:dyDescent="0.35">
      <c r="A3" s="23" t="s">
        <v>50</v>
      </c>
      <c r="B3" s="21"/>
    </row>
    <row r="4" spans="1:2" hidden="1" x14ac:dyDescent="0.35"/>
    <row r="5" spans="1:2" x14ac:dyDescent="0.35">
      <c r="A5" s="5" t="s">
        <v>33</v>
      </c>
      <c r="B5" s="5" t="s">
        <v>42</v>
      </c>
    </row>
    <row r="6" spans="1:2" x14ac:dyDescent="0.35">
      <c r="A6" s="2" t="s">
        <v>51</v>
      </c>
    </row>
    <row r="7" spans="1:2" outlineLevel="1" x14ac:dyDescent="0.35">
      <c r="A7" s="3" t="s">
        <v>52</v>
      </c>
    </row>
    <row r="8" spans="1:2" outlineLevel="2" x14ac:dyDescent="0.35">
      <c r="A8" s="12" t="s">
        <v>53</v>
      </c>
    </row>
    <row r="9" spans="1:2" hidden="1" outlineLevel="3" x14ac:dyDescent="0.35">
      <c r="A9" s="13" t="s">
        <v>54</v>
      </c>
      <c r="B9" s="7">
        <v>0</v>
      </c>
    </row>
    <row r="10" spans="1:2" outlineLevel="3" x14ac:dyDescent="0.35">
      <c r="A10" s="13" t="s">
        <v>55</v>
      </c>
      <c r="B10" s="7">
        <v>4900.5600000000004</v>
      </c>
    </row>
    <row r="11" spans="1:2" outlineLevel="3" x14ac:dyDescent="0.35">
      <c r="A11" s="13" t="s">
        <v>56</v>
      </c>
      <c r="B11" s="7">
        <v>76807.39</v>
      </c>
    </row>
    <row r="12" spans="1:2" outlineLevel="2" x14ac:dyDescent="0.35">
      <c r="A12" s="14" t="s">
        <v>57</v>
      </c>
      <c r="B12" s="9">
        <f>B8+B9+B10+B11</f>
        <v>81707.95</v>
      </c>
    </row>
    <row r="13" spans="1:2" outlineLevel="2" x14ac:dyDescent="0.35">
      <c r="A13" s="12" t="s">
        <v>58</v>
      </c>
    </row>
    <row r="14" spans="1:2" outlineLevel="3" x14ac:dyDescent="0.35">
      <c r="A14" s="13" t="s">
        <v>58</v>
      </c>
      <c r="B14" s="7">
        <v>-3315</v>
      </c>
    </row>
    <row r="15" spans="1:2" outlineLevel="2" x14ac:dyDescent="0.35">
      <c r="A15" s="14" t="s">
        <v>59</v>
      </c>
      <c r="B15" s="9">
        <f>B13+B14</f>
        <v>-3315</v>
      </c>
    </row>
    <row r="16" spans="1:2" outlineLevel="2" x14ac:dyDescent="0.35">
      <c r="A16" s="12" t="s">
        <v>60</v>
      </c>
    </row>
    <row r="17" spans="1:2" outlineLevel="3" x14ac:dyDescent="0.35">
      <c r="A17" s="13" t="s">
        <v>61</v>
      </c>
      <c r="B17" s="7">
        <v>18.920000000000002</v>
      </c>
    </row>
    <row r="18" spans="1:2" outlineLevel="3" x14ac:dyDescent="0.35">
      <c r="A18" s="13" t="s">
        <v>62</v>
      </c>
      <c r="B18" s="7">
        <v>1560</v>
      </c>
    </row>
    <row r="19" spans="1:2" outlineLevel="2" x14ac:dyDescent="0.35">
      <c r="A19" s="14" t="s">
        <v>63</v>
      </c>
      <c r="B19" s="9">
        <f>B16+B17+B18</f>
        <v>1578.92</v>
      </c>
    </row>
    <row r="20" spans="1:2" outlineLevel="1" x14ac:dyDescent="0.35">
      <c r="A20" s="15" t="s">
        <v>64</v>
      </c>
      <c r="B20" s="9">
        <f>B7+B12+B15+B19</f>
        <v>79971.87</v>
      </c>
    </row>
    <row r="21" spans="1:2" hidden="1" outlineLevel="1" x14ac:dyDescent="0.35">
      <c r="A21" s="3" t="s">
        <v>65</v>
      </c>
      <c r="B21" s="7">
        <v>0</v>
      </c>
    </row>
    <row r="22" spans="1:2" hidden="1" outlineLevel="1" x14ac:dyDescent="0.35">
      <c r="A22" s="3" t="s">
        <v>66</v>
      </c>
      <c r="B22" s="7">
        <v>0</v>
      </c>
    </row>
    <row r="23" spans="1:2" x14ac:dyDescent="0.35">
      <c r="A23" s="4" t="s">
        <v>67</v>
      </c>
      <c r="B23" s="9">
        <f>B20+B21+B22</f>
        <v>79971.87</v>
      </c>
    </row>
    <row r="24" spans="1:2" x14ac:dyDescent="0.35">
      <c r="A24" s="2" t="s">
        <v>68</v>
      </c>
    </row>
    <row r="25" spans="1:2" outlineLevel="1" x14ac:dyDescent="0.35">
      <c r="A25" s="3" t="s">
        <v>69</v>
      </c>
    </row>
    <row r="26" spans="1:2" hidden="1" outlineLevel="2" x14ac:dyDescent="0.35">
      <c r="A26" s="12" t="s">
        <v>70</v>
      </c>
    </row>
    <row r="27" spans="1:2" hidden="1" outlineLevel="3" x14ac:dyDescent="0.35">
      <c r="A27" s="13" t="s">
        <v>71</v>
      </c>
    </row>
    <row r="28" spans="1:2" hidden="1" outlineLevel="4" x14ac:dyDescent="0.35">
      <c r="A28" s="16" t="s">
        <v>71</v>
      </c>
      <c r="B28" s="7">
        <f>43+4357+2694.68</f>
        <v>7094.68</v>
      </c>
    </row>
    <row r="29" spans="1:2" outlineLevel="3" collapsed="1" x14ac:dyDescent="0.35">
      <c r="A29" s="17" t="s">
        <v>72</v>
      </c>
      <c r="B29" s="9">
        <f>B27+B28</f>
        <v>7094.68</v>
      </c>
    </row>
    <row r="30" spans="1:2" hidden="1" outlineLevel="3" x14ac:dyDescent="0.35">
      <c r="A30" s="13" t="s">
        <v>73</v>
      </c>
      <c r="B30" s="7">
        <v>0</v>
      </c>
    </row>
    <row r="31" spans="1:2" outlineLevel="3" x14ac:dyDescent="0.35">
      <c r="A31" s="13" t="s">
        <v>74</v>
      </c>
    </row>
    <row r="32" spans="1:2" outlineLevel="4" x14ac:dyDescent="0.35">
      <c r="A32" s="16" t="s">
        <v>75</v>
      </c>
      <c r="B32" s="7">
        <v>733.25</v>
      </c>
    </row>
    <row r="33" spans="1:2" outlineLevel="3" x14ac:dyDescent="0.35">
      <c r="A33" s="17" t="s">
        <v>76</v>
      </c>
      <c r="B33" s="9">
        <f>B31+B32</f>
        <v>733.25</v>
      </c>
    </row>
    <row r="34" spans="1:2" outlineLevel="2" x14ac:dyDescent="0.35">
      <c r="A34" s="14" t="s">
        <v>77</v>
      </c>
      <c r="B34" s="9">
        <f>B26+B29+B30+B33</f>
        <v>7827.93</v>
      </c>
    </row>
    <row r="35" spans="1:2" outlineLevel="2" x14ac:dyDescent="0.35">
      <c r="A35" s="12" t="s">
        <v>78</v>
      </c>
    </row>
    <row r="36" spans="1:2" hidden="1" outlineLevel="3" x14ac:dyDescent="0.35">
      <c r="A36" s="13" t="s">
        <v>79</v>
      </c>
      <c r="B36" s="7">
        <v>0</v>
      </c>
    </row>
    <row r="37" spans="1:2" outlineLevel="4" x14ac:dyDescent="0.35">
      <c r="A37" s="16" t="s">
        <v>80</v>
      </c>
      <c r="B37" s="7">
        <f>68596.89+1710.93</f>
        <v>70307.819999999992</v>
      </c>
    </row>
    <row r="38" spans="1:2" hidden="1" outlineLevel="4" x14ac:dyDescent="0.35">
      <c r="A38" s="16" t="s">
        <v>81</v>
      </c>
      <c r="B38" s="7">
        <v>0</v>
      </c>
    </row>
    <row r="39" spans="1:2" outlineLevel="4" x14ac:dyDescent="0.35">
      <c r="A39" s="16" t="s">
        <v>82</v>
      </c>
      <c r="B39" s="7">
        <v>5880</v>
      </c>
    </row>
    <row r="40" spans="1:2" outlineLevel="3" x14ac:dyDescent="0.35">
      <c r="A40" s="17" t="s">
        <v>83</v>
      </c>
      <c r="B40" s="9">
        <f>B36+B37+B38+B39</f>
        <v>76187.819999999992</v>
      </c>
    </row>
    <row r="41" spans="1:2" outlineLevel="2" x14ac:dyDescent="0.35">
      <c r="A41" s="14" t="s">
        <v>84</v>
      </c>
      <c r="B41" s="9">
        <f>B35+B40</f>
        <v>76187.819999999992</v>
      </c>
    </row>
    <row r="42" spans="1:2" outlineLevel="1" x14ac:dyDescent="0.35">
      <c r="A42" s="15" t="s">
        <v>85</v>
      </c>
      <c r="B42" s="9">
        <f>B25+B34+B41</f>
        <v>84015.75</v>
      </c>
    </row>
    <row r="43" spans="1:2" outlineLevel="1" x14ac:dyDescent="0.35">
      <c r="A43" s="3" t="s">
        <v>86</v>
      </c>
    </row>
    <row r="44" spans="1:2" hidden="1" outlineLevel="2" x14ac:dyDescent="0.35">
      <c r="A44" s="12" t="s">
        <v>87</v>
      </c>
      <c r="B44" s="7">
        <v>2303.2399999999998</v>
      </c>
    </row>
    <row r="45" spans="1:2" hidden="1" outlineLevel="2" x14ac:dyDescent="0.35">
      <c r="A45" s="12" t="s">
        <v>88</v>
      </c>
      <c r="B45" s="7">
        <v>-3613.5400000000104</v>
      </c>
    </row>
    <row r="46" spans="1:2" hidden="1" outlineLevel="2" x14ac:dyDescent="0.35">
      <c r="A46" s="12" t="s">
        <v>32</v>
      </c>
      <c r="B46" s="7">
        <f>6762.28-4357-733.25-2694.68-1710.93</f>
        <v>-2733.58</v>
      </c>
    </row>
    <row r="47" spans="1:2" outlineLevel="1" collapsed="1" x14ac:dyDescent="0.35">
      <c r="A47" s="15" t="s">
        <v>89</v>
      </c>
      <c r="B47" s="9">
        <f>B43+B44+B45+B46</f>
        <v>-4043.8800000000106</v>
      </c>
    </row>
    <row r="48" spans="1:2" x14ac:dyDescent="0.35">
      <c r="A48" s="4" t="s">
        <v>90</v>
      </c>
      <c r="B48" s="9">
        <f>B42+B47</f>
        <v>79971.87</v>
      </c>
    </row>
    <row r="52" spans="1:2" x14ac:dyDescent="0.35">
      <c r="A52" s="24"/>
      <c r="B52" s="21"/>
    </row>
  </sheetData>
  <mergeCells count="4">
    <mergeCell ref="A1:B1"/>
    <mergeCell ref="A2:B2"/>
    <mergeCell ref="A3:B3"/>
    <mergeCell ref="A52:B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A82-B650-4B5D-AB3D-BA341EFAE15F}">
  <dimension ref="M43:Q43"/>
  <sheetViews>
    <sheetView zoomScale="80" zoomScaleNormal="80" workbookViewId="0">
      <selection activeCell="X25" sqref="X25"/>
    </sheetView>
  </sheetViews>
  <sheetFormatPr defaultRowHeight="15.5" x14ac:dyDescent="0.35"/>
  <cols>
    <col min="17" max="17" width="10.9140625" bestFit="1" customWidth="1"/>
  </cols>
  <sheetData>
    <row r="43" spans="13:17" x14ac:dyDescent="0.35">
      <c r="M43" t="s">
        <v>91</v>
      </c>
      <c r="Q43" s="18">
        <f>324.62+8555.16+68000</f>
        <v>76879.78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Income Statement</vt:lpstr>
      <vt:lpstr>Balance Sheet</vt:lpstr>
      <vt:lpstr>Edward Jones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Dan Eisenhauer</cp:lastModifiedBy>
  <dcterms:created xsi:type="dcterms:W3CDTF">2022-03-24T08:55:57Z</dcterms:created>
  <dcterms:modified xsi:type="dcterms:W3CDTF">2025-09-14T14:13:47Z</dcterms:modified>
  <cp:category/>
</cp:coreProperties>
</file>